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0" yWindow="50" windowWidth="18570" windowHeight="6800"/>
  </bookViews>
  <sheets>
    <sheet name="Pastor" sheetId="1" r:id="rId1"/>
  </sheets>
  <externalReferences>
    <externalReference r:id="rId2"/>
  </externalReferences>
  <definedNames>
    <definedName name="Bud_Yr">'[1]Top Sheet'!$C$2</definedName>
    <definedName name="dddd">#REF!</definedName>
  </definedNames>
  <calcPr calcId="124519"/>
</workbook>
</file>

<file path=xl/calcChain.xml><?xml version="1.0" encoding="utf-8"?>
<calcChain xmlns="http://schemas.openxmlformats.org/spreadsheetml/2006/main">
  <c r="D62" i="1"/>
  <c r="D63" s="1"/>
  <c r="C62"/>
  <c r="C63" s="1"/>
  <c r="B62"/>
  <c r="B63" s="1"/>
  <c r="D51"/>
  <c r="C51"/>
  <c r="B51"/>
  <c r="C42"/>
  <c r="D35"/>
  <c r="D29"/>
  <c r="D36" s="1"/>
  <c r="D41" s="1"/>
  <c r="B29"/>
  <c r="B31" s="1"/>
  <c r="B36" s="1"/>
  <c r="B41" s="1"/>
  <c r="C17"/>
  <c r="C22" s="1"/>
  <c r="C24" s="1"/>
  <c r="D14"/>
  <c r="B14"/>
  <c r="B6" l="1"/>
  <c r="B11" s="1"/>
  <c r="C52"/>
  <c r="C55" s="1"/>
  <c r="C56" s="1"/>
  <c r="C65" s="1"/>
  <c r="C69" s="1"/>
  <c r="D31"/>
  <c r="B17" l="1"/>
  <c r="D6"/>
  <c r="D3" l="1"/>
  <c r="D11"/>
  <c r="D17" s="1"/>
  <c r="B22"/>
  <c r="B24" s="1"/>
  <c r="B52" l="1"/>
  <c r="B55" s="1"/>
  <c r="B56" s="1"/>
  <c r="B39"/>
  <c r="B40" s="1"/>
  <c r="B42" s="1"/>
  <c r="D22"/>
  <c r="D24" s="1"/>
  <c r="D52" l="1"/>
  <c r="D55" s="1"/>
  <c r="D56" s="1"/>
  <c r="D45"/>
  <c r="D39"/>
  <c r="D40" s="1"/>
  <c r="D42" s="1"/>
  <c r="D43" s="1"/>
  <c r="B45"/>
  <c r="B43"/>
  <c r="B65"/>
  <c r="B69" s="1"/>
  <c r="D65" l="1"/>
  <c r="D69" l="1"/>
  <c r="D66"/>
  <c r="D67" s="1"/>
</calcChain>
</file>

<file path=xl/comments1.xml><?xml version="1.0" encoding="utf-8"?>
<comments xmlns="http://schemas.openxmlformats.org/spreadsheetml/2006/main">
  <authors>
    <author>Dawn Jacobson</author>
  </authors>
  <commentList>
    <comment ref="B54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Don't Include (Comp Package assumed all was income nothing to Pension)</t>
        </r>
      </text>
    </comment>
    <comment ref="C54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Don't Include (Comp Package assumed all was income nothing to Pension)</t>
        </r>
      </text>
    </comment>
    <comment ref="D54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Don't Include (Comp Package assumed all was income nothing to Pension)</t>
        </r>
      </text>
    </comment>
  </commentList>
</comments>
</file>

<file path=xl/sharedStrings.xml><?xml version="1.0" encoding="utf-8"?>
<sst xmlns="http://schemas.openxmlformats.org/spreadsheetml/2006/main" count="53" uniqueCount="49">
  <si>
    <t>2019 Budget</t>
  </si>
  <si>
    <t>Pastor 2019</t>
  </si>
  <si>
    <t>2020 Budget</t>
  </si>
  <si>
    <t>Salary</t>
  </si>
  <si>
    <t>Housing</t>
  </si>
  <si>
    <t>Total</t>
  </si>
  <si>
    <t>% of Year</t>
  </si>
  <si>
    <t>Annual Increase %</t>
  </si>
  <si>
    <t>Total Salary and Housing</t>
  </si>
  <si>
    <t>Portion of Medical/Vision/Dental Elected to go into Salary (includes gross up starting in 2020)</t>
  </si>
  <si>
    <t xml:space="preserve">FICA Allowance %:   6.2% for Social </t>
  </si>
  <si>
    <t xml:space="preserve">    Security and 1.45% for Medicare</t>
  </si>
  <si>
    <t>FICA Tax</t>
  </si>
  <si>
    <t>Total Defined Comp.</t>
  </si>
  <si>
    <t>Health Premium Allowance:</t>
  </si>
  <si>
    <t>Health/Dental/Vision Difference</t>
  </si>
  <si>
    <t>Additional Out of pocket differences</t>
  </si>
  <si>
    <t xml:space="preserve">    Sub-total</t>
  </si>
  <si>
    <t>Agreed on 10/31/19 (Dawn and Pastor Karen) that beginning in 2020 we would not gross up the portion that is going into Pension.</t>
  </si>
  <si>
    <t>Gross up</t>
  </si>
  <si>
    <t>Health Premium Allowance</t>
  </si>
  <si>
    <t>Portion going into Salary (before Gross Up)</t>
  </si>
  <si>
    <t>To Salary</t>
  </si>
  <si>
    <t>To Pension</t>
  </si>
  <si>
    <t>Pension %</t>
  </si>
  <si>
    <t>Defined Comp.</t>
  </si>
  <si>
    <t>Pension</t>
  </si>
  <si>
    <t>Health Premium Allow added to Pension</t>
  </si>
  <si>
    <t>Sub Total</t>
  </si>
  <si>
    <t xml:space="preserve">    Total Pension as % of Defined Comp.</t>
  </si>
  <si>
    <t xml:space="preserve">    % rounded to nearest 1/2% per Portico</t>
  </si>
  <si>
    <t>Total Pension</t>
  </si>
  <si>
    <t>Other Insurance:</t>
  </si>
  <si>
    <t>Disability</t>
  </si>
  <si>
    <t>Group Life</t>
  </si>
  <si>
    <t>Retiree</t>
  </si>
  <si>
    <t>Total Other Insurance %</t>
  </si>
  <si>
    <t>Health Care Premium Allow. (Portion expected to be included in Salary if not included in Defined Comp.)</t>
  </si>
  <si>
    <t>Health Premium Allow (Pension Portion only) @7.65%</t>
  </si>
  <si>
    <t>SubTotal</t>
  </si>
  <si>
    <t>Total Other Insurance</t>
  </si>
  <si>
    <t>Business Expenses</t>
  </si>
  <si>
    <t>Travel Allow</t>
  </si>
  <si>
    <t>Continuing Ed</t>
  </si>
  <si>
    <t>Cell Phone $40/Month</t>
  </si>
  <si>
    <t>Total Business Expenses</t>
  </si>
  <si>
    <t>Grand Total - Pastor</t>
  </si>
  <si>
    <t>Year over Year</t>
  </si>
  <si>
    <t>Comparable Figure (year over year)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</si>
</sst>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0.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5" fontId="0" fillId="0" borderId="6" xfId="0" applyNumberFormat="1" applyFill="1" applyBorder="1" applyAlignment="1">
      <alignment vertical="center"/>
    </xf>
    <xf numFmtId="5" fontId="0" fillId="2" borderId="6" xfId="0" applyNumberForma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5" fontId="3" fillId="0" borderId="5" xfId="1" applyNumberFormat="1" applyFont="1" applyFill="1" applyBorder="1" applyAlignment="1">
      <alignment horizontal="right" vertical="center"/>
    </xf>
    <xf numFmtId="5" fontId="3" fillId="0" borderId="7" xfId="0" applyNumberFormat="1" applyFont="1" applyFill="1" applyBorder="1" applyAlignment="1">
      <alignment vertical="center"/>
    </xf>
    <xf numFmtId="5" fontId="3" fillId="2" borderId="7" xfId="0" applyNumberFormat="1" applyFont="1" applyFill="1" applyBorder="1" applyAlignment="1">
      <alignment vertical="center"/>
    </xf>
    <xf numFmtId="5" fontId="0" fillId="0" borderId="6" xfId="0" applyNumberFormat="1" applyFill="1" applyBorder="1" applyAlignment="1">
      <alignment horizontal="right" vertical="center"/>
    </xf>
    <xf numFmtId="5" fontId="0" fillId="2" borderId="6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0" fontId="3" fillId="0" borderId="6" xfId="2" applyNumberFormat="1" applyFont="1" applyFill="1" applyBorder="1" applyAlignment="1">
      <alignment vertical="center"/>
    </xf>
    <xf numFmtId="10" fontId="3" fillId="2" borderId="6" xfId="2" applyNumberFormat="1" applyFont="1" applyFill="1" applyBorder="1" applyAlignment="1">
      <alignment vertical="center"/>
    </xf>
    <xf numFmtId="9" fontId="3" fillId="0" borderId="6" xfId="0" applyNumberFormat="1" applyFont="1" applyFill="1" applyBorder="1" applyAlignment="1">
      <alignment vertical="center"/>
    </xf>
    <xf numFmtId="164" fontId="3" fillId="2" borderId="6" xfId="2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5" fontId="2" fillId="0" borderId="6" xfId="0" applyNumberFormat="1" applyFont="1" applyFill="1" applyBorder="1" applyAlignment="1">
      <alignment horizontal="right" vertical="center"/>
    </xf>
    <xf numFmtId="5" fontId="5" fillId="0" borderId="6" xfId="0" applyNumberFormat="1" applyFont="1" applyFill="1" applyBorder="1" applyAlignment="1">
      <alignment horizontal="right" vertical="center"/>
    </xf>
    <xf numFmtId="5" fontId="2" fillId="2" borderId="6" xfId="0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horizontal="left" vertical="center" wrapText="1"/>
    </xf>
    <xf numFmtId="5" fontId="4" fillId="0" borderId="6" xfId="1" applyNumberFormat="1" applyFont="1" applyFill="1" applyBorder="1" applyAlignment="1">
      <alignment horizontal="right" vertical="center"/>
    </xf>
    <xf numFmtId="5" fontId="4" fillId="2" borderId="6" xfId="1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 wrapText="1"/>
    </xf>
    <xf numFmtId="10" fontId="3" fillId="0" borderId="5" xfId="2" applyNumberFormat="1" applyFont="1" applyFill="1" applyBorder="1" applyAlignment="1">
      <alignment horizontal="center" vertical="center"/>
    </xf>
    <xf numFmtId="10" fontId="3" fillId="0" borderId="6" xfId="2" applyNumberFormat="1" applyFont="1" applyFill="1" applyBorder="1" applyAlignment="1">
      <alignment horizontal="center" vertical="center"/>
    </xf>
    <xf numFmtId="10" fontId="3" fillId="2" borderId="6" xfId="2" applyNumberFormat="1" applyFont="1" applyFill="1" applyBorder="1" applyAlignment="1">
      <alignment horizontal="center" vertical="center"/>
    </xf>
    <xf numFmtId="5" fontId="0" fillId="0" borderId="0" xfId="0" applyNumberFormat="1" applyAlignment="1">
      <alignment vertical="center"/>
    </xf>
    <xf numFmtId="0" fontId="2" fillId="0" borderId="8" xfId="0" applyFont="1" applyFill="1" applyBorder="1" applyAlignment="1">
      <alignment vertical="center"/>
    </xf>
    <xf numFmtId="5" fontId="2" fillId="0" borderId="10" xfId="0" applyNumberFormat="1" applyFont="1" applyFill="1" applyBorder="1" applyAlignment="1">
      <alignment vertical="center"/>
    </xf>
    <xf numFmtId="5" fontId="2" fillId="0" borderId="11" xfId="0" applyNumberFormat="1" applyFont="1" applyFill="1" applyBorder="1" applyAlignment="1">
      <alignment vertical="center"/>
    </xf>
    <xf numFmtId="5" fontId="2" fillId="2" borderId="1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5" fontId="3" fillId="0" borderId="6" xfId="1" applyNumberFormat="1" applyFont="1" applyFill="1" applyBorder="1" applyAlignment="1">
      <alignment horizontal="right" vertical="center"/>
    </xf>
    <xf numFmtId="5" fontId="3" fillId="2" borderId="5" xfId="1" applyNumberFormat="1" applyFont="1" applyFill="1" applyBorder="1" applyAlignment="1">
      <alignment horizontal="right" vertical="center"/>
    </xf>
    <xf numFmtId="5" fontId="4" fillId="2" borderId="5" xfId="1" applyNumberFormat="1" applyFont="1" applyFill="1" applyBorder="1" applyAlignment="1">
      <alignment horizontal="right" vertical="center"/>
    </xf>
    <xf numFmtId="5" fontId="0" fillId="3" borderId="4" xfId="0" applyNumberFormat="1" applyFill="1" applyBorder="1" applyAlignment="1">
      <alignment horizontal="center" vertical="center" wrapText="1"/>
    </xf>
    <xf numFmtId="10" fontId="3" fillId="0" borderId="6" xfId="2" applyNumberFormat="1" applyFont="1" applyFill="1" applyBorder="1" applyAlignment="1">
      <alignment horizontal="right" vertical="center"/>
    </xf>
    <xf numFmtId="10" fontId="3" fillId="2" borderId="5" xfId="2" applyNumberFormat="1" applyFont="1" applyFill="1" applyBorder="1" applyAlignment="1">
      <alignment horizontal="right" vertical="center"/>
    </xf>
    <xf numFmtId="5" fontId="6" fillId="0" borderId="5" xfId="1" applyNumberFormat="1" applyFont="1" applyFill="1" applyBorder="1" applyAlignment="1">
      <alignment horizontal="right" vertical="center"/>
    </xf>
    <xf numFmtId="5" fontId="6" fillId="0" borderId="6" xfId="1" applyNumberFormat="1" applyFont="1" applyFill="1" applyBorder="1" applyAlignment="1">
      <alignment horizontal="right" vertical="center"/>
    </xf>
    <xf numFmtId="5" fontId="6" fillId="2" borderId="5" xfId="1" applyNumberFormat="1" applyFont="1" applyFill="1" applyBorder="1" applyAlignment="1">
      <alignment horizontal="right" vertical="center"/>
    </xf>
    <xf numFmtId="0" fontId="0" fillId="2" borderId="5" xfId="0" applyFill="1" applyBorder="1" applyAlignment="1">
      <alignment vertical="center"/>
    </xf>
    <xf numFmtId="5" fontId="5" fillId="0" borderId="5" xfId="1" applyNumberFormat="1" applyFont="1" applyFill="1" applyBorder="1" applyAlignment="1">
      <alignment horizontal="right" vertical="center"/>
    </xf>
    <xf numFmtId="5" fontId="5" fillId="0" borderId="6" xfId="1" applyNumberFormat="1" applyFont="1" applyFill="1" applyBorder="1" applyAlignment="1">
      <alignment horizontal="right" vertical="center"/>
    </xf>
    <xf numFmtId="5" fontId="0" fillId="0" borderId="0" xfId="0" applyNumberFormat="1" applyFill="1" applyBorder="1" applyAlignment="1">
      <alignment horizontal="center" vertical="center" wrapText="1"/>
    </xf>
    <xf numFmtId="5" fontId="2" fillId="2" borderId="10" xfId="0" applyNumberFormat="1" applyFont="1" applyFill="1" applyBorder="1" applyAlignment="1">
      <alignment vertical="center"/>
    </xf>
    <xf numFmtId="9" fontId="3" fillId="0" borderId="3" xfId="0" applyNumberFormat="1" applyFont="1" applyFill="1" applyBorder="1" applyAlignment="1">
      <alignment vertical="center"/>
    </xf>
    <xf numFmtId="9" fontId="3" fillId="0" borderId="2" xfId="0" applyNumberFormat="1" applyFont="1" applyFill="1" applyBorder="1" applyAlignment="1">
      <alignment vertical="center"/>
    </xf>
    <xf numFmtId="9" fontId="3" fillId="2" borderId="2" xfId="0" applyNumberFormat="1" applyFont="1" applyFill="1" applyBorder="1" applyAlignment="1">
      <alignment vertical="center"/>
    </xf>
    <xf numFmtId="5" fontId="0" fillId="0" borderId="5" xfId="0" applyNumberFormat="1" applyFill="1" applyBorder="1" applyAlignment="1">
      <alignment vertical="center"/>
    </xf>
    <xf numFmtId="5" fontId="0" fillId="2" borderId="5" xfId="0" applyNumberFormat="1" applyFill="1" applyBorder="1" applyAlignment="1">
      <alignment vertical="center"/>
    </xf>
    <xf numFmtId="5" fontId="3" fillId="0" borderId="5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5" fontId="0" fillId="0" borderId="6" xfId="0" applyNumberFormat="1" applyFont="1" applyFill="1" applyBorder="1" applyAlignment="1">
      <alignment vertical="center"/>
    </xf>
    <xf numFmtId="5" fontId="4" fillId="0" borderId="5" xfId="0" applyNumberFormat="1" applyFont="1" applyFill="1" applyBorder="1" applyAlignment="1">
      <alignment vertical="center"/>
    </xf>
    <xf numFmtId="5" fontId="0" fillId="2" borderId="5" xfId="0" applyNumberFormat="1" applyFont="1" applyFill="1" applyBorder="1" applyAlignment="1">
      <alignment vertical="center"/>
    </xf>
    <xf numFmtId="7" fontId="0" fillId="0" borderId="0" xfId="0" applyNumberFormat="1" applyAlignment="1">
      <alignment vertical="center"/>
    </xf>
    <xf numFmtId="164" fontId="0" fillId="0" borderId="6" xfId="2" applyNumberFormat="1" applyFont="1" applyFill="1" applyBorder="1" applyAlignment="1">
      <alignment vertical="center"/>
    </xf>
    <xf numFmtId="164" fontId="0" fillId="0" borderId="5" xfId="2" applyNumberFormat="1" applyFont="1" applyFill="1" applyBorder="1" applyAlignment="1">
      <alignment vertical="center"/>
    </xf>
    <xf numFmtId="164" fontId="0" fillId="2" borderId="5" xfId="2" applyNumberFormat="1" applyFont="1" applyFill="1" applyBorder="1" applyAlignment="1">
      <alignment vertical="center"/>
    </xf>
    <xf numFmtId="164" fontId="3" fillId="2" borderId="5" xfId="2" applyNumberFormat="1" applyFont="1" applyFill="1" applyBorder="1" applyAlignment="1">
      <alignment vertical="center"/>
    </xf>
    <xf numFmtId="164" fontId="2" fillId="0" borderId="9" xfId="2" applyNumberFormat="1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vertical="center"/>
    </xf>
    <xf numFmtId="164" fontId="4" fillId="0" borderId="5" xfId="0" applyNumberFormat="1" applyFont="1" applyFill="1" applyBorder="1" applyAlignment="1">
      <alignment vertical="center"/>
    </xf>
    <xf numFmtId="164" fontId="4" fillId="0" borderId="6" xfId="0" applyNumberFormat="1" applyFont="1" applyFill="1" applyBorder="1" applyAlignment="1">
      <alignment vertical="center"/>
    </xf>
    <xf numFmtId="164" fontId="4" fillId="2" borderId="5" xfId="0" applyNumberFormat="1" applyFont="1" applyFill="1" applyBorder="1" applyAlignment="1">
      <alignment vertical="center"/>
    </xf>
    <xf numFmtId="0" fontId="0" fillId="0" borderId="4" xfId="0" applyFill="1" applyBorder="1" applyAlignment="1">
      <alignment vertical="center" wrapText="1"/>
    </xf>
    <xf numFmtId="5" fontId="3" fillId="0" borderId="6" xfId="0" applyNumberFormat="1" applyFont="1" applyFill="1" applyBorder="1" applyAlignment="1">
      <alignment vertical="center"/>
    </xf>
    <xf numFmtId="5" fontId="3" fillId="2" borderId="5" xfId="0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5" fontId="0" fillId="0" borderId="5" xfId="0" applyNumberFormat="1" applyBorder="1" applyAlignment="1">
      <alignment vertical="center"/>
    </xf>
    <xf numFmtId="0" fontId="2" fillId="0" borderId="8" xfId="0" applyFont="1" applyBorder="1" applyAlignment="1">
      <alignment vertical="center"/>
    </xf>
    <xf numFmtId="5" fontId="2" fillId="0" borderId="1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5" fontId="3" fillId="0" borderId="5" xfId="0" applyNumberFormat="1" applyFont="1" applyBorder="1" applyAlignment="1">
      <alignment vertical="center"/>
    </xf>
    <xf numFmtId="5" fontId="3" fillId="2" borderId="6" xfId="0" applyNumberFormat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5" fontId="6" fillId="0" borderId="10" xfId="0" applyNumberFormat="1" applyFont="1" applyBorder="1" applyAlignment="1">
      <alignment vertical="center"/>
    </xf>
    <xf numFmtId="5" fontId="6" fillId="0" borderId="11" xfId="0" applyNumberFormat="1" applyFont="1" applyFill="1" applyBorder="1" applyAlignment="1">
      <alignment vertical="center"/>
    </xf>
    <xf numFmtId="5" fontId="6" fillId="2" borderId="1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5" fontId="2" fillId="2" borderId="13" xfId="0" applyNumberFormat="1" applyFont="1" applyFill="1" applyBorder="1" applyAlignment="1">
      <alignment vertical="center"/>
    </xf>
    <xf numFmtId="5" fontId="2" fillId="0" borderId="14" xfId="0" applyNumberFormat="1" applyFont="1" applyFill="1" applyBorder="1" applyAlignment="1">
      <alignment vertical="center"/>
    </xf>
    <xf numFmtId="5" fontId="2" fillId="2" borderId="1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5" fontId="2" fillId="0" borderId="0" xfId="0" applyNumberFormat="1" applyFont="1" applyFill="1" applyBorder="1" applyAlignment="1">
      <alignment vertical="center"/>
    </xf>
    <xf numFmtId="9" fontId="2" fillId="0" borderId="0" xfId="2" applyFont="1" applyBorder="1" applyAlignment="1">
      <alignment vertical="center"/>
    </xf>
    <xf numFmtId="9" fontId="0" fillId="0" borderId="0" xfId="2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8" xfId="0" applyFill="1" applyBorder="1" applyAlignment="1">
      <alignment vertical="center"/>
    </xf>
    <xf numFmtId="5" fontId="2" fillId="2" borderId="9" xfId="0" applyNumberFormat="1" applyFont="1" applyFill="1" applyBorder="1" applyAlignment="1">
      <alignment vertical="center"/>
    </xf>
    <xf numFmtId="10" fontId="0" fillId="0" borderId="0" xfId="2" applyNumberFormat="1" applyFont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wn\Documents\2020%20Budg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p Sheet"/>
      <sheetName val="Summary New Year"/>
      <sheetName val="Chart1"/>
      <sheetName val="New Year-Full Year"/>
      <sheetName val="Pastor"/>
      <sheetName val="Assoc. Pastor"/>
      <sheetName val="Band Estimate"/>
      <sheetName val="Rates"/>
      <sheetName val="Pie Chart"/>
      <sheetName val="Expenses"/>
    </sheetNames>
    <sheetDataSet>
      <sheetData sheetId="0">
        <row r="2">
          <cell r="C2">
            <v>2020</v>
          </cell>
        </row>
      </sheetData>
      <sheetData sheetId="1"/>
      <sheetData sheetId="3"/>
      <sheetData sheetId="4"/>
      <sheetData sheetId="5"/>
      <sheetData sheetId="6"/>
      <sheetData sheetId="7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0"/>
  <sheetViews>
    <sheetView showGridLines="0" tabSelected="1" workbookViewId="0">
      <selection activeCell="I66" sqref="I66"/>
    </sheetView>
  </sheetViews>
  <sheetFormatPr defaultRowHeight="14.5"/>
  <cols>
    <col min="1" max="1" width="36.36328125" style="1" customWidth="1"/>
    <col min="2" max="2" width="13.90625" style="1" customWidth="1"/>
    <col min="3" max="3" width="13.90625" style="1" hidden="1" customWidth="1"/>
    <col min="4" max="4" width="13.90625" style="1" customWidth="1"/>
    <col min="5" max="5" width="23.6328125" style="1" customWidth="1"/>
    <col min="6" max="6" width="8.7265625" style="1"/>
    <col min="16" max="16384" width="8.7265625" style="1"/>
  </cols>
  <sheetData>
    <row r="1" spans="1:4">
      <c r="B1" s="2" t="s">
        <v>0</v>
      </c>
      <c r="C1" s="3" t="s">
        <v>1</v>
      </c>
      <c r="D1" s="4" t="s">
        <v>2</v>
      </c>
    </row>
    <row r="2" spans="1:4">
      <c r="A2" s="5"/>
      <c r="B2" s="6"/>
      <c r="C2" s="6"/>
      <c r="D2" s="7"/>
    </row>
    <row r="3" spans="1:4">
      <c r="A3" s="8" t="s">
        <v>3</v>
      </c>
      <c r="B3" s="82">
        <v>46322</v>
      </c>
      <c r="C3" s="9"/>
      <c r="D3" s="10">
        <f>+D6-D5</f>
        <v>49189.06</v>
      </c>
    </row>
    <row r="4" spans="1:4">
      <c r="A4" s="8"/>
      <c r="B4" s="11"/>
      <c r="C4" s="11"/>
      <c r="D4" s="12"/>
    </row>
    <row r="5" spans="1:4" ht="15" thickBot="1">
      <c r="A5" s="8" t="s">
        <v>4</v>
      </c>
      <c r="B5" s="14">
        <v>22440</v>
      </c>
      <c r="C5" s="14"/>
      <c r="D5" s="15">
        <v>22000</v>
      </c>
    </row>
    <row r="6" spans="1:4" ht="14.5" customHeight="1">
      <c r="A6" s="8" t="s">
        <v>5</v>
      </c>
      <c r="B6" s="16">
        <f>+B3+B5</f>
        <v>68762</v>
      </c>
      <c r="C6" s="16"/>
      <c r="D6" s="17">
        <f>ROUND(+B11+(B11*D10),2)</f>
        <v>71189.06</v>
      </c>
    </row>
    <row r="7" spans="1:4">
      <c r="A7" s="18"/>
      <c r="B7" s="11"/>
      <c r="C7" s="11"/>
      <c r="D7" s="12"/>
    </row>
    <row r="8" spans="1:4">
      <c r="A8" s="8" t="s">
        <v>6</v>
      </c>
      <c r="B8" s="20">
        <v>1</v>
      </c>
      <c r="C8" s="20"/>
      <c r="D8" s="21">
        <v>1</v>
      </c>
    </row>
    <row r="9" spans="1:4">
      <c r="A9" s="18"/>
      <c r="B9" s="11"/>
      <c r="C9" s="11"/>
      <c r="D9" s="12"/>
    </row>
    <row r="10" spans="1:4">
      <c r="A10" s="8" t="s">
        <v>7</v>
      </c>
      <c r="B10" s="22">
        <v>0.02</v>
      </c>
      <c r="C10" s="22"/>
      <c r="D10" s="23">
        <v>1.4999999999999999E-2</v>
      </c>
    </row>
    <row r="11" spans="1:4">
      <c r="A11" s="24" t="s">
        <v>8</v>
      </c>
      <c r="B11" s="26">
        <f>ROUND(+B6*(1+B10),0)</f>
        <v>70137</v>
      </c>
      <c r="C11" s="27"/>
      <c r="D11" s="28">
        <f>+D6*D8</f>
        <v>71189.06</v>
      </c>
    </row>
    <row r="12" spans="1:4">
      <c r="A12" s="18"/>
      <c r="B12" s="11"/>
      <c r="C12" s="11"/>
      <c r="D12" s="12"/>
    </row>
    <row r="13" spans="1:4">
      <c r="A13" s="29" t="s">
        <v>9</v>
      </c>
      <c r="B13" s="11"/>
      <c r="C13" s="11"/>
      <c r="D13" s="12"/>
    </row>
    <row r="14" spans="1:4">
      <c r="A14" s="29"/>
      <c r="B14" s="30">
        <f>+B35</f>
        <v>2600</v>
      </c>
      <c r="C14" s="30"/>
      <c r="D14" s="31">
        <f>+D35</f>
        <v>3467</v>
      </c>
    </row>
    <row r="15" spans="1:4">
      <c r="A15" s="29"/>
      <c r="B15" s="11"/>
      <c r="C15" s="11"/>
      <c r="D15" s="12"/>
    </row>
    <row r="16" spans="1:4">
      <c r="A16" s="32"/>
      <c r="B16" s="11"/>
      <c r="C16" s="11"/>
      <c r="D16" s="12"/>
    </row>
    <row r="17" spans="1:5">
      <c r="A17" s="24" t="s">
        <v>8</v>
      </c>
      <c r="B17" s="26">
        <f>+B11+B14</f>
        <v>72737</v>
      </c>
      <c r="C17" s="27">
        <f>50297+22440</f>
        <v>72737</v>
      </c>
      <c r="D17" s="28">
        <f>+D11+D14</f>
        <v>74656.06</v>
      </c>
    </row>
    <row r="18" spans="1:5">
      <c r="A18" s="18"/>
      <c r="B18" s="11"/>
      <c r="C18" s="11"/>
      <c r="D18" s="12"/>
    </row>
    <row r="19" spans="1:5">
      <c r="A19" s="18" t="s">
        <v>10</v>
      </c>
      <c r="B19" s="34">
        <v>7.6499999999999999E-2</v>
      </c>
      <c r="C19" s="34">
        <v>7.6499999999999999E-2</v>
      </c>
      <c r="D19" s="35">
        <v>7.6499999999999999E-2</v>
      </c>
    </row>
    <row r="20" spans="1:5">
      <c r="A20" s="18" t="s">
        <v>11</v>
      </c>
      <c r="B20" s="11"/>
      <c r="C20" s="11"/>
      <c r="D20" s="12"/>
    </row>
    <row r="21" spans="1:5">
      <c r="A21" s="18"/>
      <c r="B21" s="11"/>
      <c r="C21" s="11"/>
      <c r="D21" s="12"/>
    </row>
    <row r="22" spans="1:5">
      <c r="A22" s="18" t="s">
        <v>12</v>
      </c>
      <c r="B22" s="30">
        <f t="shared" ref="B22:D22" si="0">+B17*B19</f>
        <v>5564.3805000000002</v>
      </c>
      <c r="C22" s="30">
        <f t="shared" si="0"/>
        <v>5564.3805000000002</v>
      </c>
      <c r="D22" s="31">
        <f t="shared" si="0"/>
        <v>5711.1885899999997</v>
      </c>
      <c r="E22" s="36"/>
    </row>
    <row r="23" spans="1:5">
      <c r="A23" s="18"/>
      <c r="B23" s="11"/>
      <c r="C23" s="11"/>
      <c r="D23" s="12"/>
    </row>
    <row r="24" spans="1:5">
      <c r="A24" s="37" t="s">
        <v>13</v>
      </c>
      <c r="B24" s="39">
        <f t="shared" ref="B24:D24" si="1">+B17+B22</f>
        <v>78301.380499999999</v>
      </c>
      <c r="C24" s="39">
        <f t="shared" si="1"/>
        <v>78301.380499999999</v>
      </c>
      <c r="D24" s="40">
        <f t="shared" si="1"/>
        <v>80367.248590000003</v>
      </c>
    </row>
    <row r="25" spans="1:5">
      <c r="A25" s="41"/>
      <c r="B25" s="41"/>
      <c r="C25" s="41"/>
      <c r="D25" s="41"/>
    </row>
    <row r="26" spans="1:5">
      <c r="A26" s="42" t="s">
        <v>14</v>
      </c>
      <c r="B26" s="6"/>
      <c r="C26" s="43"/>
      <c r="D26" s="44"/>
    </row>
    <row r="27" spans="1:5">
      <c r="A27" s="18" t="s">
        <v>15</v>
      </c>
      <c r="B27" s="45">
        <v>4973</v>
      </c>
      <c r="C27" s="13"/>
      <c r="D27" s="46">
        <v>5121</v>
      </c>
      <c r="E27" s="36"/>
    </row>
    <row r="28" spans="1:5">
      <c r="A28" s="18" t="s">
        <v>16</v>
      </c>
      <c r="B28" s="45">
        <v>2600</v>
      </c>
      <c r="C28" s="13"/>
      <c r="D28" s="46">
        <v>2600</v>
      </c>
      <c r="E28" s="36"/>
    </row>
    <row r="29" spans="1:5" ht="14.5" customHeight="1">
      <c r="A29" s="18" t="s">
        <v>17</v>
      </c>
      <c r="B29" s="30">
        <f>+B27+B28</f>
        <v>7573</v>
      </c>
      <c r="C29" s="13"/>
      <c r="D29" s="47">
        <f>+D27+D28</f>
        <v>7721</v>
      </c>
      <c r="E29" s="48" t="s">
        <v>18</v>
      </c>
    </row>
    <row r="30" spans="1:5">
      <c r="A30" s="18" t="s">
        <v>19</v>
      </c>
      <c r="B30" s="49">
        <v>0.25</v>
      </c>
      <c r="C30" s="33"/>
      <c r="D30" s="50">
        <v>0.25</v>
      </c>
      <c r="E30" s="48"/>
    </row>
    <row r="31" spans="1:5">
      <c r="A31" s="25" t="s">
        <v>20</v>
      </c>
      <c r="B31" s="52">
        <f>ROUND(+B29/(1-B30),0)</f>
        <v>10097</v>
      </c>
      <c r="C31" s="51"/>
      <c r="D31" s="53">
        <f>ROUND(+D29/(1-D30),0)</f>
        <v>10295</v>
      </c>
      <c r="E31" s="48"/>
    </row>
    <row r="32" spans="1:5">
      <c r="A32" s="18"/>
      <c r="B32" s="11"/>
      <c r="C32" s="19"/>
      <c r="D32" s="54"/>
      <c r="E32" s="48"/>
    </row>
    <row r="33" spans="1:6">
      <c r="A33" s="18" t="s">
        <v>21</v>
      </c>
      <c r="B33" s="45"/>
      <c r="C33" s="13"/>
      <c r="D33" s="46">
        <v>2600</v>
      </c>
      <c r="E33" s="48"/>
    </row>
    <row r="34" spans="1:6">
      <c r="A34" s="18" t="s">
        <v>19</v>
      </c>
      <c r="B34" s="34"/>
      <c r="C34" s="33"/>
      <c r="D34" s="50">
        <v>0.25</v>
      </c>
      <c r="E34" s="48"/>
    </row>
    <row r="35" spans="1:6">
      <c r="A35" s="25" t="s">
        <v>22</v>
      </c>
      <c r="B35" s="56">
        <v>2600</v>
      </c>
      <c r="C35" s="55"/>
      <c r="D35" s="53">
        <f>ROUND(+D33/(1-D34),0)</f>
        <v>3467</v>
      </c>
      <c r="E35" s="57"/>
    </row>
    <row r="36" spans="1:6">
      <c r="A36" s="37" t="s">
        <v>23</v>
      </c>
      <c r="B36" s="39">
        <f>+B31-B35</f>
        <v>7497</v>
      </c>
      <c r="C36" s="38"/>
      <c r="D36" s="58">
        <f>+D29-D33</f>
        <v>5121</v>
      </c>
    </row>
    <row r="37" spans="1:6">
      <c r="A37" s="41"/>
      <c r="B37" s="41"/>
      <c r="C37" s="41"/>
      <c r="D37" s="41"/>
    </row>
    <row r="38" spans="1:6">
      <c r="A38" s="42" t="s">
        <v>24</v>
      </c>
      <c r="B38" s="59">
        <v>0.11</v>
      </c>
      <c r="C38" s="60"/>
      <c r="D38" s="61">
        <v>0.11</v>
      </c>
    </row>
    <row r="39" spans="1:6">
      <c r="A39" s="18" t="s">
        <v>25</v>
      </c>
      <c r="B39" s="9">
        <f>+B24</f>
        <v>78301.380499999999</v>
      </c>
      <c r="C39" s="62"/>
      <c r="D39" s="63">
        <f>+D24</f>
        <v>80367.248590000003</v>
      </c>
    </row>
    <row r="40" spans="1:6">
      <c r="A40" s="18" t="s">
        <v>26</v>
      </c>
      <c r="B40" s="9">
        <f>ROUND(+B39*B38,0)</f>
        <v>8613</v>
      </c>
      <c r="C40" s="64">
        <v>8613</v>
      </c>
      <c r="D40" s="63">
        <f>ROUND(+D39*D38,0)</f>
        <v>8840</v>
      </c>
    </row>
    <row r="41" spans="1:6">
      <c r="A41" s="18" t="s">
        <v>27</v>
      </c>
      <c r="B41" s="9">
        <f>+B36</f>
        <v>7497</v>
      </c>
      <c r="C41" s="64">
        <v>5090</v>
      </c>
      <c r="D41" s="63">
        <f>+D36</f>
        <v>5121</v>
      </c>
    </row>
    <row r="42" spans="1:6">
      <c r="A42" s="65" t="s">
        <v>28</v>
      </c>
      <c r="B42" s="66">
        <f t="shared" ref="B42:D42" si="2">+B40+B41</f>
        <v>16110</v>
      </c>
      <c r="C42" s="67">
        <f t="shared" si="2"/>
        <v>13703</v>
      </c>
      <c r="D42" s="68">
        <f t="shared" si="2"/>
        <v>13961</v>
      </c>
      <c r="F42" s="69"/>
    </row>
    <row r="43" spans="1:6">
      <c r="A43" s="18" t="s">
        <v>29</v>
      </c>
      <c r="B43" s="70">
        <f>+B42/B39</f>
        <v>0.20574349899233257</v>
      </c>
      <c r="C43" s="71"/>
      <c r="D43" s="72">
        <f>+D42/D39</f>
        <v>0.17371504244500352</v>
      </c>
    </row>
    <row r="44" spans="1:6">
      <c r="A44" s="18" t="s">
        <v>30</v>
      </c>
      <c r="B44" s="70"/>
      <c r="C44" s="71"/>
      <c r="D44" s="73">
        <v>0.17499999999999999</v>
      </c>
    </row>
    <row r="45" spans="1:6">
      <c r="A45" s="37" t="s">
        <v>31</v>
      </c>
      <c r="B45" s="39">
        <f>+B42</f>
        <v>16110</v>
      </c>
      <c r="C45" s="74"/>
      <c r="D45" s="58">
        <f>+D24*D44</f>
        <v>14064.268503249999</v>
      </c>
    </row>
    <row r="46" spans="1:6">
      <c r="A46" s="41"/>
      <c r="B46" s="41"/>
      <c r="C46" s="41"/>
      <c r="D46" s="41"/>
    </row>
    <row r="47" spans="1:6">
      <c r="A47" s="42" t="s">
        <v>32</v>
      </c>
      <c r="B47" s="6"/>
      <c r="C47" s="43"/>
      <c r="D47" s="44"/>
    </row>
    <row r="48" spans="1:6">
      <c r="A48" s="18" t="s">
        <v>33</v>
      </c>
      <c r="B48" s="76">
        <v>2.5000000000000001E-2</v>
      </c>
      <c r="C48" s="75">
        <v>2.5000000000000001E-2</v>
      </c>
      <c r="D48" s="77">
        <v>1.4999999999999999E-2</v>
      </c>
    </row>
    <row r="49" spans="1:4">
      <c r="A49" s="18" t="s">
        <v>34</v>
      </c>
      <c r="B49" s="76">
        <v>2E-3</v>
      </c>
      <c r="C49" s="75">
        <v>2E-3</v>
      </c>
      <c r="D49" s="77">
        <v>7.0000000000000001E-3</v>
      </c>
    </row>
    <row r="50" spans="1:4">
      <c r="A50" s="18" t="s">
        <v>35</v>
      </c>
      <c r="B50" s="76">
        <v>7.0000000000000001E-3</v>
      </c>
      <c r="C50" s="75">
        <v>7.0000000000000001E-3</v>
      </c>
      <c r="D50" s="77">
        <v>7.0000000000000001E-3</v>
      </c>
    </row>
    <row r="51" spans="1:4">
      <c r="A51" s="18" t="s">
        <v>36</v>
      </c>
      <c r="B51" s="79">
        <f t="shared" ref="B51:D51" si="3">+B48+B49+B50</f>
        <v>3.4000000000000002E-2</v>
      </c>
      <c r="C51" s="78">
        <f t="shared" si="3"/>
        <v>3.4000000000000002E-2</v>
      </c>
      <c r="D51" s="80">
        <f t="shared" si="3"/>
        <v>2.8999999999999998E-2</v>
      </c>
    </row>
    <row r="52" spans="1:4">
      <c r="A52" s="18" t="s">
        <v>25</v>
      </c>
      <c r="B52" s="9">
        <f t="shared" ref="B52:D52" si="4">+B24</f>
        <v>78301.380499999999</v>
      </c>
      <c r="C52" s="62">
        <f t="shared" si="4"/>
        <v>78301.380499999999</v>
      </c>
      <c r="D52" s="63">
        <f t="shared" si="4"/>
        <v>80367.248590000003</v>
      </c>
    </row>
    <row r="53" spans="1:4" ht="43.5" hidden="1">
      <c r="A53" s="81" t="s">
        <v>37</v>
      </c>
      <c r="B53" s="82">
        <v>0</v>
      </c>
      <c r="C53" s="64">
        <v>0</v>
      </c>
      <c r="D53" s="83">
        <v>0</v>
      </c>
    </row>
    <row r="54" spans="1:4" ht="29" hidden="1">
      <c r="A54" s="81" t="s">
        <v>38</v>
      </c>
      <c r="B54" s="9"/>
      <c r="C54" s="62"/>
      <c r="D54" s="63"/>
    </row>
    <row r="55" spans="1:4" hidden="1">
      <c r="A55" s="84" t="s">
        <v>39</v>
      </c>
      <c r="B55" s="9">
        <f t="shared" ref="B55:C55" si="5">SUM(B52:B54)</f>
        <v>78301.380499999999</v>
      </c>
      <c r="C55" s="85">
        <f t="shared" si="5"/>
        <v>78301.380499999999</v>
      </c>
      <c r="D55" s="63">
        <f t="shared" ref="D55" si="6">SUM(D52:D54)</f>
        <v>80367.248590000003</v>
      </c>
    </row>
    <row r="56" spans="1:4">
      <c r="A56" s="86" t="s">
        <v>40</v>
      </c>
      <c r="B56" s="39">
        <f>ROUND(+B55*B51,0)</f>
        <v>2662</v>
      </c>
      <c r="C56" s="87">
        <f>+C55*C51</f>
        <v>2662.2469370000003</v>
      </c>
      <c r="D56" s="58">
        <f>ROUND(+D55*D51,0)</f>
        <v>2331</v>
      </c>
    </row>
    <row r="57" spans="1:4">
      <c r="B57" s="41"/>
    </row>
    <row r="58" spans="1:4">
      <c r="A58" s="88" t="s">
        <v>41</v>
      </c>
      <c r="B58" s="90"/>
      <c r="C58" s="89"/>
      <c r="D58" s="91"/>
    </row>
    <row r="59" spans="1:4">
      <c r="A59" s="84" t="s">
        <v>42</v>
      </c>
      <c r="B59" s="82">
        <v>1500</v>
      </c>
      <c r="C59" s="92">
        <v>1500</v>
      </c>
      <c r="D59" s="93">
        <v>1500</v>
      </c>
    </row>
    <row r="60" spans="1:4">
      <c r="A60" s="84" t="s">
        <v>43</v>
      </c>
      <c r="B60" s="82">
        <v>1000</v>
      </c>
      <c r="C60" s="92">
        <v>700</v>
      </c>
      <c r="D60" s="93">
        <v>1000</v>
      </c>
    </row>
    <row r="61" spans="1:4">
      <c r="A61" s="84" t="s">
        <v>41</v>
      </c>
      <c r="B61" s="82">
        <v>600</v>
      </c>
      <c r="C61" s="92">
        <v>600</v>
      </c>
      <c r="D61" s="93">
        <v>600</v>
      </c>
    </row>
    <row r="62" spans="1:4">
      <c r="A62" s="18" t="s">
        <v>44</v>
      </c>
      <c r="B62" s="82">
        <f>40*12</f>
        <v>480</v>
      </c>
      <c r="C62" s="83">
        <f>25*12</f>
        <v>300</v>
      </c>
      <c r="D62" s="93">
        <f>40*12</f>
        <v>480</v>
      </c>
    </row>
    <row r="63" spans="1:4">
      <c r="A63" s="94" t="s">
        <v>45</v>
      </c>
      <c r="B63" s="96">
        <f t="shared" ref="B63:C63" si="7">+SUM(B59:B62)</f>
        <v>3580</v>
      </c>
      <c r="C63" s="95">
        <f t="shared" si="7"/>
        <v>3100</v>
      </c>
      <c r="D63" s="97">
        <f t="shared" ref="D63" si="8">+SUM(D59:D62)</f>
        <v>3580</v>
      </c>
    </row>
    <row r="64" spans="1:4">
      <c r="B64" s="41"/>
    </row>
    <row r="65" spans="1:5">
      <c r="A65" s="98" t="s">
        <v>46</v>
      </c>
      <c r="B65" s="100">
        <f>+B24+B42+B56+B63</f>
        <v>100653.3805</v>
      </c>
      <c r="C65" s="99">
        <f>+C24+C42+C56+C63</f>
        <v>97766.627437000003</v>
      </c>
      <c r="D65" s="101">
        <f>+D24+D42+D56+D63</f>
        <v>100239.24859</v>
      </c>
      <c r="E65" s="36"/>
    </row>
    <row r="66" spans="1:5">
      <c r="A66" s="102" t="s">
        <v>47</v>
      </c>
      <c r="B66" s="103"/>
      <c r="C66" s="103"/>
      <c r="D66" s="103">
        <f>+D65-B65</f>
        <v>-414.13190999999642</v>
      </c>
    </row>
    <row r="67" spans="1:5">
      <c r="A67" s="102"/>
      <c r="B67" s="103"/>
      <c r="C67" s="103"/>
      <c r="D67" s="104">
        <f>+D66/B65</f>
        <v>-4.1144361763388211E-3</v>
      </c>
      <c r="E67" s="105"/>
    </row>
    <row r="68" spans="1:5">
      <c r="A68" s="84"/>
      <c r="B68" s="106"/>
      <c r="C68" s="107"/>
    </row>
    <row r="69" spans="1:5" hidden="1">
      <c r="A69" s="108" t="s">
        <v>48</v>
      </c>
      <c r="B69" s="109">
        <f>+B65-B22</f>
        <v>95089</v>
      </c>
      <c r="C69" s="58">
        <f>+C65-C22</f>
        <v>92202.246937000004</v>
      </c>
      <c r="D69" s="109">
        <f>+D65-D22</f>
        <v>94528.06</v>
      </c>
    </row>
    <row r="70" spans="1:5">
      <c r="B70" s="110"/>
      <c r="D70" s="110"/>
    </row>
  </sheetData>
  <mergeCells count="2">
    <mergeCell ref="A13:A15"/>
    <mergeCell ref="E29:E34"/>
  </mergeCells>
  <pageMargins left="0.7" right="0.7" top="0.75" bottom="0.75" header="0.3" footer="0.3"/>
  <pageSetup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dcterms:created xsi:type="dcterms:W3CDTF">2019-10-31T21:35:16Z</dcterms:created>
  <dcterms:modified xsi:type="dcterms:W3CDTF">2019-10-31T21:36:31Z</dcterms:modified>
</cp:coreProperties>
</file>